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45" activeTab="0"/>
  </bookViews>
  <sheets>
    <sheet name="Speedo" sheetId="1" r:id="rId1"/>
  </sheets>
  <definedNames>
    <definedName name="_1st">'Speedo'!$H$29</definedName>
    <definedName name="_2nd">'Speedo'!$H$30</definedName>
    <definedName name="_3rd">'Speedo'!$H$31</definedName>
    <definedName name="_4th">'Speedo'!$H$32</definedName>
    <definedName name="_5th">'Speedo'!$H$33</definedName>
    <definedName name="Miles">'Speedo'!$B$38</definedName>
  </definedNames>
  <calcPr fullCalcOnLoad="1"/>
</workbook>
</file>

<file path=xl/sharedStrings.xml><?xml version="1.0" encoding="utf-8"?>
<sst xmlns="http://schemas.openxmlformats.org/spreadsheetml/2006/main" count="63" uniqueCount="37">
  <si>
    <t>GEAR</t>
  </si>
  <si>
    <t>EXPECTED RPM</t>
  </si>
  <si>
    <t>1st</t>
  </si>
  <si>
    <t>2nd</t>
  </si>
  <si>
    <t>3rd</t>
  </si>
  <si>
    <t>4th</t>
  </si>
  <si>
    <t>5th</t>
  </si>
  <si>
    <t>For Stock 16T Front, 47T Rear Sprocket</t>
  </si>
  <si>
    <t>17" Rear Wheel, 130/80 Tyre</t>
  </si>
  <si>
    <t>Cut it out, stick it on your Screen</t>
  </si>
  <si>
    <t>Choose an Empty Road and Test it.</t>
  </si>
  <si>
    <t>RPM</t>
  </si>
  <si>
    <t>Gear</t>
  </si>
  <si>
    <t>(MPH)</t>
  </si>
  <si>
    <t>(KPH)</t>
  </si>
  <si>
    <r>
      <t xml:space="preserve">SPEED </t>
    </r>
    <r>
      <rPr>
        <b/>
        <sz val="10"/>
        <rFont val="Arial"/>
        <family val="2"/>
      </rPr>
      <t>(kph)</t>
    </r>
  </si>
  <si>
    <r>
      <t xml:space="preserve">SPEED </t>
    </r>
    <r>
      <rPr>
        <b/>
        <sz val="10"/>
        <rFont val="Arial"/>
        <family val="2"/>
      </rPr>
      <t>(mph)</t>
    </r>
  </si>
  <si>
    <r>
      <t xml:space="preserve">EXPECTED SPEED </t>
    </r>
    <r>
      <rPr>
        <b/>
        <sz val="10"/>
        <rFont val="Arial"/>
        <family val="2"/>
      </rPr>
      <t>(kph)</t>
    </r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</si>
  <si>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</si>
  <si>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</si>
  <si>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</si>
  <si>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</si>
  <si>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</si>
  <si>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>kms/Miles</t>
  </si>
  <si>
    <r>
      <t xml:space="preserve">EXPECTED SPEED </t>
    </r>
    <r>
      <rPr>
        <b/>
        <sz val="10"/>
        <rFont val="Arial"/>
        <family val="2"/>
      </rPr>
      <t>(mph)</t>
    </r>
  </si>
  <si>
    <t>by Kristian #562</t>
  </si>
  <si>
    <t>RIM</t>
  </si>
  <si>
    <t>Tyre</t>
  </si>
  <si>
    <t>Ratios</t>
  </si>
  <si>
    <t>F650 and F650GS Gear vs. RPM vs. Speedo</t>
  </si>
  <si>
    <t>Teeth</t>
  </si>
  <si>
    <t>Perhaps use a Passenger to read the Dial while you DRIVE.</t>
  </si>
  <si>
    <t xml:space="preserve">If you want to know the Speed at a certain RPM, change this Figure:  </t>
  </si>
  <si>
    <t>You can Change the RED Cells and the Speed or the RPM Will Change Automatically.</t>
  </si>
  <si>
    <t>For practical reasons, the figures are rounded to the nearest multiple of 50 rpm.</t>
  </si>
  <si>
    <t>While rounding to the closest 50rpm is considered adequate, if you want to know the Exact Figures, remove "MROUND(" from the beginning of the formulas and ",50)" from the end.</t>
  </si>
  <si>
    <t>You MUST Install the Excel Analysis Toolpak to Run this Function. Tools, Addins, Check "AnalysisToolpak"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</si>
</sst>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"/>
    <numFmt numFmtId="177" formatCode="0.000000"/>
    <numFmt numFmtId="178" formatCode="0.00000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2" fontId="0" fillId="2" borderId="7" xfId="0" applyNumberFormat="1" applyFill="1" applyBorder="1" applyAlignment="1" applyProtection="1">
      <alignment/>
      <protection locked="0"/>
    </xf>
    <xf numFmtId="172" fontId="0" fillId="3" borderId="8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" fontId="0" fillId="2" borderId="8" xfId="0" applyNumberFormat="1" applyFill="1" applyBorder="1" applyAlignment="1" applyProtection="1">
      <alignment/>
      <protection locked="0"/>
    </xf>
    <xf numFmtId="172" fontId="0" fillId="3" borderId="9" xfId="0" applyNumberFormat="1" applyFill="1" applyBorder="1" applyAlignment="1">
      <alignment/>
    </xf>
    <xf numFmtId="1" fontId="0" fillId="2" borderId="10" xfId="0" applyNumberFormat="1" applyFill="1" applyBorder="1" applyAlignment="1" applyProtection="1">
      <alignment/>
      <protection locked="0"/>
    </xf>
    <xf numFmtId="1" fontId="0" fillId="2" borderId="7" xfId="0" applyNumberFormat="1" applyFill="1" applyBorder="1" applyAlignment="1" applyProtection="1">
      <alignment/>
      <protection locked="0"/>
    </xf>
    <xf numFmtId="172" fontId="2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 applyProtection="1">
      <alignment/>
      <protection locked="0"/>
    </xf>
    <xf numFmtId="172" fontId="0" fillId="2" borderId="8" xfId="0" applyNumberFormat="1" applyFill="1" applyBorder="1" applyAlignment="1" applyProtection="1">
      <alignment/>
      <protection locked="0"/>
    </xf>
    <xf numFmtId="172" fontId="0" fillId="2" borderId="9" xfId="0" applyNumberFormat="1" applyFill="1" applyBorder="1" applyAlignment="1" applyProtection="1">
      <alignment/>
      <protection locked="0"/>
    </xf>
    <xf numFmtId="172" fontId="0" fillId="4" borderId="11" xfId="0" applyNumberFormat="1" applyFill="1" applyBorder="1" applyAlignment="1">
      <alignment/>
    </xf>
    <xf numFmtId="1" fontId="0" fillId="5" borderId="8" xfId="0" applyNumberFormat="1" applyFill="1" applyBorder="1" applyAlignment="1" applyProtection="1">
      <alignment horizontal="center"/>
      <protection hidden="1"/>
    </xf>
    <xf numFmtId="1" fontId="0" fillId="5" borderId="7" xfId="0" applyNumberFormat="1" applyFill="1" applyBorder="1" applyAlignment="1" applyProtection="1">
      <alignment horizontal="center"/>
      <protection hidden="1"/>
    </xf>
    <xf numFmtId="1" fontId="0" fillId="5" borderId="10" xfId="0" applyNumberFormat="1" applyFill="1" applyBorder="1" applyAlignment="1" applyProtection="1">
      <alignment horizontal="center"/>
      <protection hidden="1"/>
    </xf>
    <xf numFmtId="1" fontId="0" fillId="0" borderId="12" xfId="0" applyNumberForma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3" fontId="2" fillId="7" borderId="3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29" sqref="P29"/>
    </sheetView>
  </sheetViews>
  <sheetFormatPr defaultColWidth="9.140625" defaultRowHeight="12.75"/>
  <cols>
    <col min="1" max="1" width="6.28125" style="1" customWidth="1"/>
    <col min="2" max="2" width="12.140625" style="1" customWidth="1"/>
    <col min="3" max="3" width="15.57421875" style="1" customWidth="1"/>
    <col min="4" max="4" width="3.7109375" style="0" customWidth="1"/>
    <col min="5" max="5" width="6.28125" style="0" customWidth="1"/>
    <col min="6" max="6" width="12.7109375" style="0" customWidth="1"/>
    <col min="7" max="7" width="15.57421875" style="0" bestFit="1" customWidth="1"/>
    <col min="8" max="8" width="7.421875" style="0" customWidth="1"/>
    <col min="9" max="9" width="6.28125" style="0" bestFit="1" customWidth="1"/>
    <col min="10" max="10" width="6.421875" style="0" bestFit="1" customWidth="1"/>
    <col min="11" max="11" width="22.8515625" style="0" bestFit="1" customWidth="1"/>
    <col min="12" max="12" width="4.140625" style="0" customWidth="1"/>
    <col min="13" max="13" width="6.28125" style="0" customWidth="1"/>
    <col min="14" max="14" width="6.421875" style="0" bestFit="1" customWidth="1"/>
    <col min="15" max="15" width="23.140625" style="0" customWidth="1"/>
  </cols>
  <sheetData>
    <row r="1" spans="1:15" ht="23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.75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7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3.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3.5" thickBot="1">
      <c r="A6" s="5" t="s">
        <v>0</v>
      </c>
      <c r="B6" s="6" t="s">
        <v>15</v>
      </c>
      <c r="C6" s="7" t="s">
        <v>1</v>
      </c>
      <c r="E6" s="5" t="s">
        <v>0</v>
      </c>
      <c r="F6" s="6" t="s">
        <v>16</v>
      </c>
      <c r="G6" s="7" t="s">
        <v>1</v>
      </c>
      <c r="I6" s="5" t="s">
        <v>0</v>
      </c>
      <c r="J6" s="6" t="s">
        <v>11</v>
      </c>
      <c r="K6" s="7" t="s">
        <v>17</v>
      </c>
      <c r="M6" s="5" t="s">
        <v>0</v>
      </c>
      <c r="N6" s="6" t="s">
        <v>11</v>
      </c>
      <c r="O6" s="7" t="s">
        <v>24</v>
      </c>
    </row>
    <row r="7" spans="1:15" ht="15.75">
      <c r="A7" s="2" t="s">
        <v>2</v>
      </c>
      <c r="B7" s="37">
        <v>20</v>
      </c>
      <c r="C7" s="31">
        <f>MROUND(B7/(($I$36/2*25.4+($I$37*($I$38/100)))*0.000377)*_1st,50)</f>
        <v>2600</v>
      </c>
      <c r="E7" s="2" t="s">
        <v>2</v>
      </c>
      <c r="F7" s="37">
        <v>15</v>
      </c>
      <c r="G7" s="31">
        <f>MROUND((F7*Miles)/(($I$36/2*25.4+($I$37*($I$38/100)))*0.000377)*_1st,50)</f>
        <v>3150</v>
      </c>
      <c r="H7" s="42"/>
      <c r="I7" s="2" t="s">
        <v>2</v>
      </c>
      <c r="J7" s="34">
        <v>2600</v>
      </c>
      <c r="K7" s="31">
        <f>(J7/_1st)*($I$36/2*25.4+($I$37*($I$38/100)))*0.000377</f>
        <v>19.946905639898137</v>
      </c>
      <c r="M7" s="2" t="s">
        <v>2</v>
      </c>
      <c r="N7" s="28">
        <v>3150</v>
      </c>
      <c r="O7" s="31">
        <f>(N7/_1st)*($I$36/2*25.4+($I$37*($I$38/100)))*0.000377/Miles</f>
        <v>15.016303737736518</v>
      </c>
    </row>
    <row r="8" spans="1:15" ht="16.5" thickBot="1">
      <c r="A8" s="4"/>
      <c r="B8" s="35">
        <v>40</v>
      </c>
      <c r="C8" s="32">
        <f>MROUND(B8/(($I$36/2*25.4+($I$37*($I$38/100)))*0.000377)*_1st,50)</f>
        <v>5200</v>
      </c>
      <c r="E8" s="4"/>
      <c r="F8" s="38">
        <v>25</v>
      </c>
      <c r="G8" s="32">
        <f>MROUND((F8*Miles)/(($I$36/2*25.4+($I$37*($I$38/100)))*0.000377)*_1st,50)</f>
        <v>5250</v>
      </c>
      <c r="H8" s="42"/>
      <c r="I8" s="4"/>
      <c r="J8" s="35">
        <v>5200</v>
      </c>
      <c r="K8" s="32">
        <f>(J8/_1st)*($I$36/2*25.4+($I$37*($I$38/100)))*0.000377</f>
        <v>39.893811279796275</v>
      </c>
      <c r="M8" s="4"/>
      <c r="N8" s="29">
        <v>5250</v>
      </c>
      <c r="O8" s="32">
        <f>(N8/_1st)*($I$36/2*25.4+($I$37*($I$38/100)))*0.000377/Miles</f>
        <v>25.027172896227526</v>
      </c>
    </row>
    <row r="9" spans="1:15" ht="15.75">
      <c r="A9" s="2" t="s">
        <v>3</v>
      </c>
      <c r="B9" s="34">
        <v>40</v>
      </c>
      <c r="C9" s="31">
        <f>MROUND(B9/(($I$36/2*25.4+($I$37*($I$38/100)))*0.000377)*_2nd,50)</f>
        <v>3300</v>
      </c>
      <c r="E9" s="2" t="s">
        <v>3</v>
      </c>
      <c r="F9" s="37">
        <v>25</v>
      </c>
      <c r="G9" s="31">
        <f>MROUND((F9*Miles)/(($I$36/2*25.4+($I$37*($I$38/100)))*0.000377)*_2nd,50)</f>
        <v>3350</v>
      </c>
      <c r="H9" s="42"/>
      <c r="I9" s="2" t="s">
        <v>3</v>
      </c>
      <c r="J9" s="34">
        <v>3300</v>
      </c>
      <c r="K9" s="31">
        <f>(J9/_2nd)*($I$36/2*25.4+($I$37*($I$38/100)))*0.000377</f>
        <v>39.78421289715947</v>
      </c>
      <c r="M9" s="2" t="s">
        <v>3</v>
      </c>
      <c r="N9" s="28">
        <v>3350</v>
      </c>
      <c r="O9" s="31">
        <f>(N9/_2nd)*($I$36/2*25.4+($I$37*($I$38/100)))*0.000377/Miles</f>
        <v>25.09527404696556</v>
      </c>
    </row>
    <row r="10" spans="1:15" ht="15.75">
      <c r="A10" s="3"/>
      <c r="B10" s="36">
        <v>60</v>
      </c>
      <c r="C10" s="33">
        <f>MROUND(B10/(($I$36/2*25.4+($I$37*($I$38/100)))*0.000377)*_2nd,50)</f>
        <v>5000</v>
      </c>
      <c r="E10" s="3"/>
      <c r="F10" s="39">
        <v>30</v>
      </c>
      <c r="G10" s="33">
        <f>MROUND((F10*Miles)/(($I$36/2*25.4+($I$37*($I$38/100)))*0.000377)*_2nd,50)</f>
        <v>4000</v>
      </c>
      <c r="H10" s="42"/>
      <c r="I10" s="3"/>
      <c r="J10" s="36">
        <v>5000</v>
      </c>
      <c r="K10" s="33">
        <f>(J10/_2nd)*($I$36/2*25.4+($I$37*($I$38/100)))*0.000377</f>
        <v>60.27911045024162</v>
      </c>
      <c r="M10" s="3"/>
      <c r="N10" s="30">
        <v>4000</v>
      </c>
      <c r="O10" s="33">
        <f>(N10/_2nd)*($I$36/2*25.4+($I$37*($I$38/100)))*0.000377/Miles</f>
        <v>29.964506324735</v>
      </c>
    </row>
    <row r="11" spans="1:15" ht="16.5" thickBot="1">
      <c r="A11" s="4"/>
      <c r="B11" s="35">
        <v>80</v>
      </c>
      <c r="C11" s="32">
        <f>MROUND(B11/(($I$36/2*25.4+($I$37*($I$38/100)))*0.000377)*_2nd,50)</f>
        <v>6650</v>
      </c>
      <c r="E11" s="4"/>
      <c r="F11" s="38">
        <v>35</v>
      </c>
      <c r="G11" s="32">
        <f>MROUND((F11*Miles)/(($I$36/2*25.4+($I$37*($I$38/100)))*0.000377)*_2nd,50)</f>
        <v>4650</v>
      </c>
      <c r="H11" s="42"/>
      <c r="I11" s="4"/>
      <c r="J11" s="35">
        <v>6650</v>
      </c>
      <c r="K11" s="32">
        <f>(J11/_2nd)*($I$36/2*25.4+($I$37*($I$38/100)))*0.000377</f>
        <v>80.17121689882136</v>
      </c>
      <c r="M11" s="4"/>
      <c r="N11" s="29">
        <v>4650</v>
      </c>
      <c r="O11" s="32">
        <f>(N11/_2nd)*($I$36/2*25.4+($I$37*($I$38/100)))*0.000377/Miles</f>
        <v>34.83373860250443</v>
      </c>
    </row>
    <row r="12" spans="1:15" ht="15.75">
      <c r="A12" s="2" t="s">
        <v>4</v>
      </c>
      <c r="B12" s="34">
        <v>40</v>
      </c>
      <c r="C12" s="31">
        <f>MROUND(B12/(($I$36/2*25.4+($I$37*($I$38/100)))*0.000377)*_3rd,50)</f>
        <v>2500</v>
      </c>
      <c r="E12" s="2" t="s">
        <v>4</v>
      </c>
      <c r="F12" s="37">
        <v>25</v>
      </c>
      <c r="G12" s="31">
        <f>MROUND((F12*Miles)/(($I$36/2*25.4+($I$37*($I$38/100)))*0.000377)*_3rd,50)</f>
        <v>2500</v>
      </c>
      <c r="H12" s="42"/>
      <c r="I12" s="2" t="s">
        <v>4</v>
      </c>
      <c r="J12" s="34">
        <v>2500</v>
      </c>
      <c r="K12" s="31">
        <f>(J12/_3rd)*($I$36/2*25.4+($I$37*($I$38/100)))*0.000377</f>
        <v>40.170770482834286</v>
      </c>
      <c r="M12" s="2" t="s">
        <v>4</v>
      </c>
      <c r="N12" s="28">
        <v>2500</v>
      </c>
      <c r="O12" s="31">
        <f>(N12/_3rd)*($I$36/2*25.4+($I$37*($I$38/100)))*0.000377/Miles</f>
        <v>24.960913018034198</v>
      </c>
    </row>
    <row r="13" spans="1:15" ht="15.75">
      <c r="A13" s="3"/>
      <c r="B13" s="36">
        <v>60</v>
      </c>
      <c r="C13" s="33">
        <f>MROUND(B13/(($I$36/2*25.4+($I$37*($I$38/100)))*0.000377)*_3rd,50)</f>
        <v>3750</v>
      </c>
      <c r="E13" s="3"/>
      <c r="F13" s="39">
        <v>35</v>
      </c>
      <c r="G13" s="33">
        <f>MROUND((F13*Miles)/(($I$36/2*25.4+($I$37*($I$38/100)))*0.000377)*_3rd,50)</f>
        <v>3500</v>
      </c>
      <c r="H13" s="42"/>
      <c r="I13" s="3"/>
      <c r="J13" s="36">
        <v>3750</v>
      </c>
      <c r="K13" s="33">
        <f>(J13/_3rd)*($I$36/2*25.4+($I$37*($I$38/100)))*0.000377</f>
        <v>60.25615572425144</v>
      </c>
      <c r="M13" s="3"/>
      <c r="N13" s="30">
        <v>3500</v>
      </c>
      <c r="O13" s="33">
        <f>(N13/_3rd)*($I$36/2*25.4+($I$37*($I$38/100)))*0.000377/Miles</f>
        <v>34.94527822524788</v>
      </c>
    </row>
    <row r="14" spans="1:15" ht="15.75">
      <c r="A14" s="3"/>
      <c r="B14" s="36">
        <v>80</v>
      </c>
      <c r="C14" s="33">
        <f>MROUND(B14/(($I$36/2*25.4+($I$37*($I$38/100)))*0.000377)*_3rd,50)</f>
        <v>5000</v>
      </c>
      <c r="E14" s="3"/>
      <c r="F14" s="39">
        <v>40</v>
      </c>
      <c r="G14" s="33">
        <f>MROUND((F14*Miles)/(($I$36/2*25.4+($I$37*($I$38/100)))*0.000377)*_3rd,50)</f>
        <v>4000</v>
      </c>
      <c r="H14" s="42"/>
      <c r="I14" s="3"/>
      <c r="J14" s="36">
        <v>5000</v>
      </c>
      <c r="K14" s="33">
        <f>(J14/_3rd)*($I$36/2*25.4+($I$37*($I$38/100)))*0.000377</f>
        <v>80.34154096566857</v>
      </c>
      <c r="M14" s="3"/>
      <c r="N14" s="30">
        <v>4000</v>
      </c>
      <c r="O14" s="33">
        <f>(N14/_3rd)*($I$36/2*25.4+($I$37*($I$38/100)))*0.000377/Miles</f>
        <v>39.937460828854725</v>
      </c>
    </row>
    <row r="15" spans="1:15" ht="16.5" thickBot="1">
      <c r="A15" s="4"/>
      <c r="B15" s="35">
        <v>100</v>
      </c>
      <c r="C15" s="32">
        <f>MROUND(B15/(($I$36/2*25.4+($I$37*($I$38/100)))*0.000377)*_3rd,50)</f>
        <v>6200</v>
      </c>
      <c r="E15" s="4"/>
      <c r="F15" s="38">
        <v>45</v>
      </c>
      <c r="G15" s="32">
        <f>MROUND((F15*Miles)/(($I$36/2*25.4+($I$37*($I$38/100)))*0.000377)*_3rd,50)</f>
        <v>4500</v>
      </c>
      <c r="H15" s="42"/>
      <c r="I15" s="4"/>
      <c r="J15" s="35">
        <v>6200</v>
      </c>
      <c r="K15" s="32">
        <f>(J15/_3rd)*($I$36/2*25.4+($I$37*($I$38/100)))*0.000377</f>
        <v>99.62351079742903</v>
      </c>
      <c r="M15" s="4"/>
      <c r="N15" s="29">
        <v>4500</v>
      </c>
      <c r="O15" s="32">
        <f>(N15/_3rd)*($I$36/2*25.4+($I$37*($I$38/100)))*0.000377/Miles</f>
        <v>44.92964343246156</v>
      </c>
    </row>
    <row r="16" spans="1:15" ht="15.75">
      <c r="A16" s="2" t="s">
        <v>5</v>
      </c>
      <c r="B16" s="34">
        <v>60</v>
      </c>
      <c r="C16" s="31">
        <f>MROUND(B16/(($I$36/2*25.4+($I$37*($I$38/100)))*0.000377)*_4th,50)</f>
        <v>2950</v>
      </c>
      <c r="E16" s="2" t="s">
        <v>5</v>
      </c>
      <c r="F16" s="37">
        <v>35</v>
      </c>
      <c r="G16" s="31">
        <f>MROUND((F16*Miles)/(($I$36/2*25.4+($I$37*($I$38/100)))*0.000377)*_4th,50)</f>
        <v>2800</v>
      </c>
      <c r="H16" s="42"/>
      <c r="I16" s="2" t="s">
        <v>5</v>
      </c>
      <c r="J16" s="34">
        <v>2950</v>
      </c>
      <c r="K16" s="31">
        <f>(J16/_4th)*($I$36/2*25.4+($I$37*($I$38/100)))*0.000377</f>
        <v>59.558068459210034</v>
      </c>
      <c r="M16" s="2" t="s">
        <v>5</v>
      </c>
      <c r="N16" s="28">
        <v>2800</v>
      </c>
      <c r="O16" s="31">
        <f>(N16/_4th)*($I$36/2*25.4+($I$37*($I$38/100)))*0.000377/Miles</f>
        <v>35.1258566964597</v>
      </c>
    </row>
    <row r="17" spans="1:15" ht="15.75">
      <c r="A17" s="3"/>
      <c r="B17" s="36">
        <v>80</v>
      </c>
      <c r="C17" s="33">
        <f>MROUND(B17/(($I$36/2*25.4+($I$37*($I$38/100)))*0.000377)*_4th,50)</f>
        <v>3950</v>
      </c>
      <c r="E17" s="3"/>
      <c r="F17" s="39">
        <v>45</v>
      </c>
      <c r="G17" s="33">
        <f>MROUND((F17*Miles)/(($I$36/2*25.4+($I$37*($I$38/100)))*0.000377)*_4th,50)</f>
        <v>3600</v>
      </c>
      <c r="H17" s="42"/>
      <c r="I17" s="3"/>
      <c r="J17" s="36">
        <v>3950</v>
      </c>
      <c r="K17" s="33">
        <f>(J17/_4th)*($I$36/2*25.4+($I$37*($I$38/100)))*0.000377</f>
        <v>79.7472442080948</v>
      </c>
      <c r="M17" s="3"/>
      <c r="N17" s="30">
        <v>3600</v>
      </c>
      <c r="O17" s="33">
        <f>(N17/_4th)*($I$36/2*25.4+($I$37*($I$38/100)))*0.000377/Miles</f>
        <v>45.16181575259104</v>
      </c>
    </row>
    <row r="18" spans="1:15" ht="15.75">
      <c r="A18" s="3"/>
      <c r="B18" s="36">
        <v>100</v>
      </c>
      <c r="C18" s="33">
        <f>MROUND(B18/(($I$36/2*25.4+($I$37*($I$38/100)))*0.000377)*_4th,50)</f>
        <v>4950</v>
      </c>
      <c r="E18" s="3"/>
      <c r="F18" s="39">
        <v>55</v>
      </c>
      <c r="G18" s="33">
        <f>MROUND((F18*Miles)/(($I$36/2*25.4+($I$37*($I$38/100)))*0.000377)*_4th,50)</f>
        <v>4400</v>
      </c>
      <c r="H18" s="42"/>
      <c r="I18" s="3"/>
      <c r="J18" s="36">
        <v>4950</v>
      </c>
      <c r="K18" s="33">
        <f>(J18/_4th)*($I$36/2*25.4+($I$37*($I$38/100)))*0.000377</f>
        <v>99.93641995697956</v>
      </c>
      <c r="M18" s="3"/>
      <c r="N18" s="30">
        <v>4400</v>
      </c>
      <c r="O18" s="33">
        <f>(N18/_4th)*($I$36/2*25.4+($I$37*($I$38/100)))*0.000377/Miles</f>
        <v>55.197774808722365</v>
      </c>
    </row>
    <row r="19" spans="1:15" ht="15.75">
      <c r="A19" s="3"/>
      <c r="B19" s="36">
        <v>120</v>
      </c>
      <c r="C19" s="33">
        <f>MROUND(B19/(($I$36/2*25.4+($I$37*($I$38/100)))*0.000377)*_4th,50)</f>
        <v>5950</v>
      </c>
      <c r="E19" s="3"/>
      <c r="F19" s="39">
        <v>65</v>
      </c>
      <c r="G19" s="33">
        <f>MROUND((F19*Miles)/(($I$36/2*25.4+($I$37*($I$38/100)))*0.000377)*_4th,50)</f>
        <v>5200</v>
      </c>
      <c r="H19" s="42"/>
      <c r="I19" s="3"/>
      <c r="J19" s="36">
        <v>5950</v>
      </c>
      <c r="K19" s="33">
        <f>(J19/_4th)*($I$36/2*25.4+($I$37*($I$38/100)))*0.000377</f>
        <v>120.1255957058643</v>
      </c>
      <c r="M19" s="3"/>
      <c r="N19" s="30">
        <v>5200</v>
      </c>
      <c r="O19" s="33">
        <f>(N19/_4th)*($I$36/2*25.4+($I$37*($I$38/100)))*0.000377/Miles</f>
        <v>65.23373386485372</v>
      </c>
    </row>
    <row r="20" spans="1:15" ht="16.5" thickBot="1">
      <c r="A20" s="4"/>
      <c r="B20" s="35">
        <v>140</v>
      </c>
      <c r="C20" s="32">
        <f>MROUND(B20/(($I$36/2*25.4+($I$37*($I$38/100)))*0.000377)*_4th,50)</f>
        <v>6950</v>
      </c>
      <c r="E20" s="4"/>
      <c r="F20" s="38">
        <v>75</v>
      </c>
      <c r="G20" s="32">
        <f>MROUND((F20*Miles)/(($I$36/2*25.4+($I$37*($I$38/100)))*0.000377)*_4th,50)</f>
        <v>6000</v>
      </c>
      <c r="H20" s="42"/>
      <c r="I20" s="4"/>
      <c r="J20" s="35">
        <v>6950</v>
      </c>
      <c r="K20" s="32">
        <f>(J20/_4th)*($I$36/2*25.4+($I$37*($I$38/100)))*0.000377</f>
        <v>140.31477145474906</v>
      </c>
      <c r="M20" s="4"/>
      <c r="N20" s="29">
        <v>6000</v>
      </c>
      <c r="O20" s="32">
        <f>(N20/_4th)*($I$36/2*25.4+($I$37*($I$38/100)))*0.000377/Miles</f>
        <v>75.26969292098505</v>
      </c>
    </row>
    <row r="21" spans="1:15" ht="15.75">
      <c r="A21" s="2" t="s">
        <v>6</v>
      </c>
      <c r="B21" s="34">
        <v>60</v>
      </c>
      <c r="C21" s="31">
        <f>MROUND(B21/(($I$36/2*25.4+($I$37*($I$38/100)))*0.000377)*_5th,50)</f>
        <v>2500</v>
      </c>
      <c r="E21" s="2" t="s">
        <v>6</v>
      </c>
      <c r="F21" s="37">
        <v>55</v>
      </c>
      <c r="G21" s="31">
        <f>MROUND((F21*Miles)/(($I$36/2*25.4+($I$37*($I$38/100)))*0.000377)*_5th,50)</f>
        <v>3650</v>
      </c>
      <c r="H21" s="42"/>
      <c r="I21" s="2" t="s">
        <v>6</v>
      </c>
      <c r="J21" s="34">
        <v>2500</v>
      </c>
      <c r="K21" s="31">
        <f aca="true" t="shared" si="0" ref="K21:K26">(J21/_5th)*($I$36/2*25.4+($I$37*($I$38/100)))*0.000377</f>
        <v>60.27911045024162</v>
      </c>
      <c r="M21" s="2" t="s">
        <v>6</v>
      </c>
      <c r="N21" s="28">
        <v>3650</v>
      </c>
      <c r="O21" s="31">
        <f aca="true" t="shared" si="1" ref="O21:O26">(N21/_5th)*($I$36/2*25.4+($I$37*($I$38/100)))*0.000377/Miles</f>
        <v>54.68522404264137</v>
      </c>
    </row>
    <row r="22" spans="1:15" ht="15.75">
      <c r="A22" s="3"/>
      <c r="B22" s="36">
        <v>80</v>
      </c>
      <c r="C22" s="33">
        <f>MROUND(B22/(($I$36/2*25.4+($I$37*($I$38/100)))*0.000377)*_5th,50)</f>
        <v>3300</v>
      </c>
      <c r="E22" s="3"/>
      <c r="F22" s="39">
        <v>65</v>
      </c>
      <c r="G22" s="33">
        <f>MROUND((F22*Miles)/(($I$36/2*25.4+($I$37*($I$38/100)))*0.000377)*_5th,50)</f>
        <v>4350</v>
      </c>
      <c r="H22" s="42"/>
      <c r="I22" s="3"/>
      <c r="J22" s="36">
        <v>3300</v>
      </c>
      <c r="K22" s="33">
        <f t="shared" si="0"/>
        <v>79.56842579431894</v>
      </c>
      <c r="M22" s="3"/>
      <c r="N22" s="30">
        <v>4350</v>
      </c>
      <c r="O22" s="33">
        <f t="shared" si="1"/>
        <v>65.17280125629861</v>
      </c>
    </row>
    <row r="23" spans="1:15" ht="15.75">
      <c r="A23" s="3"/>
      <c r="B23" s="36">
        <v>100</v>
      </c>
      <c r="C23" s="33">
        <f>MROUND(B23/(($I$36/2*25.4+($I$37*($I$38/100)))*0.000377)*_5th,50)</f>
        <v>4150</v>
      </c>
      <c r="E23" s="3"/>
      <c r="F23" s="39">
        <v>75</v>
      </c>
      <c r="G23" s="33">
        <f>MROUND((F23*Miles)/(($I$36/2*25.4+($I$37*($I$38/100)))*0.000377)*_5th,50)</f>
        <v>5000</v>
      </c>
      <c r="H23" s="42"/>
      <c r="I23" s="3"/>
      <c r="J23" s="36">
        <v>4150</v>
      </c>
      <c r="K23" s="33">
        <f t="shared" si="0"/>
        <v>100.06332334740111</v>
      </c>
      <c r="M23" s="3"/>
      <c r="N23" s="30">
        <v>5000</v>
      </c>
      <c r="O23" s="33">
        <f t="shared" si="1"/>
        <v>74.9112658118375</v>
      </c>
    </row>
    <row r="24" spans="1:15" ht="15.75">
      <c r="A24" s="3"/>
      <c r="B24" s="36">
        <v>120</v>
      </c>
      <c r="C24" s="33">
        <f>MROUND(B24/(($I$36/2*25.4+($I$37*($I$38/100)))*0.000377)*_5th,50)</f>
        <v>5000</v>
      </c>
      <c r="E24" s="3"/>
      <c r="F24" s="39">
        <v>85</v>
      </c>
      <c r="G24" s="33">
        <f>MROUND((F24*Miles)/(($I$36/2*25.4+($I$37*($I$38/100)))*0.000377)*_5th,50)</f>
        <v>5650</v>
      </c>
      <c r="H24" s="42"/>
      <c r="I24" s="3"/>
      <c r="J24" s="36">
        <v>5000</v>
      </c>
      <c r="K24" s="33">
        <f t="shared" si="0"/>
        <v>120.55822090048324</v>
      </c>
      <c r="M24" s="3"/>
      <c r="N24" s="30">
        <v>5650</v>
      </c>
      <c r="O24" s="33">
        <f t="shared" si="1"/>
        <v>84.64973036737639</v>
      </c>
    </row>
    <row r="25" spans="1:15" ht="15.75">
      <c r="A25" s="3"/>
      <c r="B25" s="36">
        <v>140</v>
      </c>
      <c r="C25" s="33">
        <f>MROUND(B25/(($I$36/2*25.4+($I$37*($I$38/100)))*0.000377)*_5th,50)</f>
        <v>5800</v>
      </c>
      <c r="E25" s="3"/>
      <c r="F25" s="39">
        <v>90</v>
      </c>
      <c r="G25" s="33">
        <f>MROUND((F25*Miles)/(($I$36/2*25.4+($I$37*($I$38/100)))*0.000377)*_5th,50)</f>
        <v>6000</v>
      </c>
      <c r="H25" s="42"/>
      <c r="I25" s="3"/>
      <c r="J25" s="36">
        <v>5800</v>
      </c>
      <c r="K25" s="33">
        <f t="shared" si="0"/>
        <v>139.84753624456056</v>
      </c>
      <c r="M25" s="3"/>
      <c r="N25" s="30">
        <v>6000</v>
      </c>
      <c r="O25" s="33">
        <f t="shared" si="1"/>
        <v>89.893518974205</v>
      </c>
    </row>
    <row r="26" spans="1:15" ht="16.5" thickBot="1">
      <c r="A26" s="4"/>
      <c r="B26" s="35">
        <v>160</v>
      </c>
      <c r="C26" s="32">
        <f>MROUND(B26/(($I$36/2*25.4+($I$37*($I$38/100)))*0.000377)*_5th,50)</f>
        <v>6650</v>
      </c>
      <c r="E26" s="4"/>
      <c r="F26" s="38">
        <v>100</v>
      </c>
      <c r="G26" s="32">
        <f>MROUND((F26*Miles)/(($I$36/2*25.4+($I$37*($I$38/100)))*0.000377)*_5th,50)</f>
        <v>6650</v>
      </c>
      <c r="H26" s="42"/>
      <c r="I26" s="4"/>
      <c r="J26" s="35">
        <v>6650</v>
      </c>
      <c r="K26" s="32">
        <f t="shared" si="0"/>
        <v>160.3424337976427</v>
      </c>
      <c r="M26" s="4"/>
      <c r="N26" s="29">
        <v>6650</v>
      </c>
      <c r="O26" s="32">
        <f t="shared" si="1"/>
        <v>99.63198352974386</v>
      </c>
    </row>
    <row r="27" ht="13.5" thickBot="1"/>
    <row r="28" spans="1:15" ht="13.5" thickBot="1">
      <c r="A28" s="46" t="s">
        <v>7</v>
      </c>
      <c r="B28" s="46"/>
      <c r="C28" s="46"/>
      <c r="D28" s="46"/>
      <c r="E28" s="46"/>
      <c r="F28" s="46"/>
      <c r="G28" s="46"/>
      <c r="H28" t="s">
        <v>28</v>
      </c>
      <c r="I28" s="19">
        <v>1.946</v>
      </c>
      <c r="J28" s="20"/>
      <c r="K28" s="16" t="s">
        <v>14</v>
      </c>
      <c r="L28" s="50"/>
      <c r="M28" s="49"/>
      <c r="N28" s="49"/>
      <c r="O28" s="49"/>
    </row>
    <row r="29" spans="1:15" ht="12.75">
      <c r="A29" s="46" t="s">
        <v>8</v>
      </c>
      <c r="B29" s="46"/>
      <c r="C29" s="46"/>
      <c r="D29" s="46"/>
      <c r="E29" s="46"/>
      <c r="F29" s="46"/>
      <c r="G29" s="51"/>
      <c r="H29" s="9">
        <f>I$28*H$34*I29</f>
        <v>15.72003125</v>
      </c>
      <c r="I29" s="18">
        <v>2.75</v>
      </c>
      <c r="J29" s="25" t="s">
        <v>18</v>
      </c>
      <c r="K29" s="21">
        <f>($I$39/_1st)*(($I$36/2*25.4+($I$37*($I$38/100)))*0.000377)</f>
        <v>31.838330155991258</v>
      </c>
      <c r="L29" s="50"/>
      <c r="M29" s="49"/>
      <c r="N29" s="49"/>
      <c r="O29" s="49"/>
    </row>
    <row r="30" spans="1:15" ht="12.75">
      <c r="A30" s="46" t="s">
        <v>9</v>
      </c>
      <c r="B30" s="46"/>
      <c r="C30" s="46"/>
      <c r="D30" s="46"/>
      <c r="E30" s="46"/>
      <c r="F30" s="46"/>
      <c r="G30" s="51"/>
      <c r="H30" s="10">
        <f>I$28*H$34*I30</f>
        <v>10.00365625</v>
      </c>
      <c r="I30" s="8">
        <v>1.75</v>
      </c>
      <c r="J30" s="26" t="s">
        <v>19</v>
      </c>
      <c r="K30" s="22">
        <f>($I$39/_2nd)*($I$36/2*25.4+($I$37*($I$38/100)))*0.000377</f>
        <v>50.031661673700555</v>
      </c>
      <c r="L30" s="50"/>
      <c r="M30" s="49"/>
      <c r="N30" s="49"/>
      <c r="O30" s="49"/>
    </row>
    <row r="31" spans="1:15" ht="12.75">
      <c r="A31" s="46" t="s">
        <v>10</v>
      </c>
      <c r="B31" s="46"/>
      <c r="C31" s="46"/>
      <c r="D31" s="46"/>
      <c r="E31" s="46"/>
      <c r="F31" s="46"/>
      <c r="G31" s="51"/>
      <c r="H31" s="10">
        <f>I$28*H$34*I31</f>
        <v>7.505600375</v>
      </c>
      <c r="I31" s="8">
        <v>1.313</v>
      </c>
      <c r="J31" s="26" t="s">
        <v>20</v>
      </c>
      <c r="K31" s="22">
        <f>($I$39/_3rd)*($I$36/2*25.4+($I$37*($I$38/100)))*0.000377</f>
        <v>66.68347900150492</v>
      </c>
      <c r="L31" s="50"/>
      <c r="M31" s="49"/>
      <c r="N31" s="49"/>
      <c r="O31" s="49"/>
    </row>
    <row r="32" spans="1:15" ht="12.75">
      <c r="A32" s="46" t="s">
        <v>31</v>
      </c>
      <c r="B32" s="46"/>
      <c r="C32" s="46"/>
      <c r="D32" s="46"/>
      <c r="E32" s="46"/>
      <c r="F32" s="46"/>
      <c r="G32" s="51"/>
      <c r="H32" s="10">
        <f>I$28*H$34*I32</f>
        <v>5.973611875</v>
      </c>
      <c r="I32" s="8">
        <v>1.045</v>
      </c>
      <c r="J32" s="26" t="s">
        <v>21</v>
      </c>
      <c r="K32" s="22">
        <f>($I$39/_4th)*($I$36/2*25.4+($I$37*($I$38/100)))*0.000377</f>
        <v>83.78507935787175</v>
      </c>
      <c r="L32" s="50"/>
      <c r="M32" s="49"/>
      <c r="N32" s="49"/>
      <c r="O32" s="49"/>
    </row>
    <row r="33" spans="1:15" ht="13.5" thickBot="1">
      <c r="A33" s="49"/>
      <c r="B33" s="49"/>
      <c r="C33" s="49"/>
      <c r="D33" s="49"/>
      <c r="E33" s="49"/>
      <c r="F33" s="49"/>
      <c r="G33" s="49"/>
      <c r="H33" s="10">
        <f>I$28*H$34*I33</f>
        <v>5.001828125</v>
      </c>
      <c r="I33" s="8">
        <v>0.875</v>
      </c>
      <c r="J33" s="27" t="s">
        <v>22</v>
      </c>
      <c r="K33" s="23">
        <f>($I$39/_5th)*($I$36/2*25.4+($I$37*($I$38/100)))*0.000377</f>
        <v>100.06332334740111</v>
      </c>
      <c r="L33" s="50"/>
      <c r="M33" s="49"/>
      <c r="N33" s="49"/>
      <c r="O33" s="49"/>
    </row>
    <row r="34" spans="1:15" ht="13.5" thickBot="1">
      <c r="A34" s="49"/>
      <c r="B34" s="49"/>
      <c r="C34" s="49"/>
      <c r="D34" s="49"/>
      <c r="E34" s="49"/>
      <c r="F34" s="49"/>
      <c r="G34" s="49"/>
      <c r="H34" s="12">
        <f>I35/I34</f>
        <v>2.9375</v>
      </c>
      <c r="I34" s="11">
        <v>16</v>
      </c>
      <c r="K34" s="24"/>
      <c r="L34" s="50"/>
      <c r="M34" s="49"/>
      <c r="N34" s="49"/>
      <c r="O34" s="49"/>
    </row>
    <row r="35" spans="1:15" ht="13.5" thickBot="1">
      <c r="A35" s="49"/>
      <c r="B35" s="49"/>
      <c r="C35" s="49"/>
      <c r="D35" s="49"/>
      <c r="E35" s="49"/>
      <c r="F35" s="49"/>
      <c r="G35" s="49"/>
      <c r="H35" t="s">
        <v>30</v>
      </c>
      <c r="I35" s="13">
        <v>47</v>
      </c>
      <c r="J35" s="15" t="s">
        <v>12</v>
      </c>
      <c r="K35" s="16" t="s">
        <v>13</v>
      </c>
      <c r="L35" s="50"/>
      <c r="M35" s="49"/>
      <c r="N35" s="49"/>
      <c r="O35" s="49"/>
    </row>
    <row r="36" spans="1:15" ht="12.75">
      <c r="A36" s="49"/>
      <c r="B36" s="49"/>
      <c r="C36" s="49"/>
      <c r="D36" s="49"/>
      <c r="E36" s="49"/>
      <c r="F36" s="49"/>
      <c r="G36" s="49"/>
      <c r="H36" t="s">
        <v>26</v>
      </c>
      <c r="I36" s="11">
        <v>17</v>
      </c>
      <c r="J36" s="25" t="s">
        <v>18</v>
      </c>
      <c r="K36" s="21">
        <f>K29/1.609347</f>
        <v>19.783384289398903</v>
      </c>
      <c r="L36" s="50"/>
      <c r="M36" s="49"/>
      <c r="N36" s="49"/>
      <c r="O36" s="49"/>
    </row>
    <row r="37" spans="1:15" ht="12.75">
      <c r="A37" s="49"/>
      <c r="B37" s="49"/>
      <c r="C37" s="49"/>
      <c r="D37" s="49"/>
      <c r="E37" s="49"/>
      <c r="F37" s="49"/>
      <c r="G37" s="49"/>
      <c r="H37" t="s">
        <v>27</v>
      </c>
      <c r="I37" s="14">
        <v>130</v>
      </c>
      <c r="J37" s="26" t="s">
        <v>19</v>
      </c>
      <c r="K37" s="22">
        <f>K30/1.609347</f>
        <v>31.088175311912565</v>
      </c>
      <c r="L37" s="50"/>
      <c r="M37" s="49"/>
      <c r="N37" s="49"/>
      <c r="O37" s="49"/>
    </row>
    <row r="38" spans="2:15" ht="13.5" thickBot="1">
      <c r="B38" s="1">
        <v>1.609347</v>
      </c>
      <c r="C38" s="45" t="s">
        <v>23</v>
      </c>
      <c r="D38" s="45"/>
      <c r="E38" s="45"/>
      <c r="F38" s="45"/>
      <c r="G38" s="45"/>
      <c r="H38" t="s">
        <v>27</v>
      </c>
      <c r="I38" s="17">
        <v>80</v>
      </c>
      <c r="J38" s="26" t="s">
        <v>20</v>
      </c>
      <c r="K38" s="22">
        <f>K31/1.609347</f>
        <v>41.43511560993677</v>
      </c>
      <c r="L38" s="50"/>
      <c r="M38" s="49"/>
      <c r="N38" s="49"/>
      <c r="O38" s="49"/>
    </row>
    <row r="39" spans="1:15" ht="13.5" thickBot="1">
      <c r="A39" s="47" t="s">
        <v>32</v>
      </c>
      <c r="B39" s="47"/>
      <c r="C39" s="47"/>
      <c r="D39" s="47"/>
      <c r="E39" s="47"/>
      <c r="F39" s="47"/>
      <c r="G39" s="47"/>
      <c r="H39" s="48"/>
      <c r="I39" s="41">
        <v>4150</v>
      </c>
      <c r="J39" s="26" t="s">
        <v>21</v>
      </c>
      <c r="K39" s="22">
        <f>K32/1.609347</f>
        <v>52.06153760368134</v>
      </c>
      <c r="L39" s="50"/>
      <c r="M39" s="49"/>
      <c r="N39" s="49"/>
      <c r="O39" s="49"/>
    </row>
    <row r="40" spans="10:15" ht="13.5" thickBot="1">
      <c r="J40" s="27" t="s">
        <v>22</v>
      </c>
      <c r="K40" s="23">
        <f>K33/1.609347</f>
        <v>62.17635062382513</v>
      </c>
      <c r="L40" s="50"/>
      <c r="M40" s="49"/>
      <c r="N40" s="49"/>
      <c r="O40" s="49"/>
    </row>
    <row r="42" ht="12.75">
      <c r="A42" s="40" t="s">
        <v>35</v>
      </c>
    </row>
    <row r="43" ht="12.75">
      <c r="A43" s="40" t="s">
        <v>36</v>
      </c>
    </row>
    <row r="52" ht="12.75">
      <c r="A52"/>
    </row>
    <row r="53" ht="12.75">
      <c r="A53"/>
    </row>
  </sheetData>
  <mergeCells count="13">
    <mergeCell ref="A39:H39"/>
    <mergeCell ref="A33:G37"/>
    <mergeCell ref="C38:G38"/>
    <mergeCell ref="L28:O40"/>
    <mergeCell ref="A29:G29"/>
    <mergeCell ref="A30:G30"/>
    <mergeCell ref="A31:G31"/>
    <mergeCell ref="A32:G32"/>
    <mergeCell ref="A1:O1"/>
    <mergeCell ref="A2:O2"/>
    <mergeCell ref="A3:O3"/>
    <mergeCell ref="A28:G28"/>
    <mergeCell ref="A4:O4"/>
  </mergeCells>
  <printOptions/>
  <pageMargins left="0.75" right="0.75" top="1" bottom="1" header="0.5" footer="0.5"/>
  <pageSetup horizontalDpi="600" verticalDpi="600" orientation="landscape" paperSize="9" r:id="rId1"/>
  <ignoredErrors>
    <ignoredError sqref="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Kowloon-Canton Railway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Murfitt</dc:creator>
  <cp:keywords/>
  <dc:description/>
  <cp:lastModifiedBy>Kristian Murfitt</cp:lastModifiedBy>
  <cp:lastPrinted>2002-05-18T03:19:45Z</cp:lastPrinted>
  <dcterms:created xsi:type="dcterms:W3CDTF">2002-05-18T03:03:48Z</dcterms:created>
  <dcterms:modified xsi:type="dcterms:W3CDTF">2003-06-03T22:24:56Z</dcterms:modified>
  <cp:category/>
  <cp:version/>
  <cp:contentType/>
  <cp:contentStatus/>
</cp:coreProperties>
</file>